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EDB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<sst xmlns="http://schemas.openxmlformats.org/spreadsheetml/2006/main" count="48" uniqueCount="41">
  <si>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Pilot</t>
  </si>
  <si>
    <t>Fuel, Avgas 100LL</t>
  </si>
  <si>
    <t>Arm (mm)</t>
  </si>
  <si>
    <t>Moment (kg-mm)</t>
  </si>
  <si>
    <t>Volume (usg)</t>
  </si>
  <si>
    <t>Weight (kg)</t>
  </si>
  <si>
    <t>Empty weight</t>
  </si>
  <si>
    <t>Front passenger</t>
  </si>
  <si>
    <t>Pilot and front passenger</t>
  </si>
  <si>
    <t>Rear passenger #1</t>
  </si>
  <si>
    <t>Rear passenger #2</t>
  </si>
  <si>
    <t>W&amp;B Envelope</t>
  </si>
  <si>
    <t>Rear passengers</t>
  </si>
  <si>
    <t>coordinates</t>
  </si>
  <si>
    <t>Load</t>
  </si>
  <si>
    <t>Luggage compartment 1 (max 54 kg)</t>
  </si>
  <si>
    <t xml:space="preserve">Luggage compartment 2 (max 36 kg) </t>
  </si>
  <si>
    <t>Luggage (max 90 kg)</t>
  </si>
  <si>
    <t>Luggage compartment 3 (max 36 kg)</t>
  </si>
  <si>
    <t>1 pound in kg</t>
  </si>
  <si>
    <t>1 us gallon in liters</t>
  </si>
  <si>
    <t>Spes. gravity 100LL</t>
  </si>
  <si>
    <t>1 inch in millimeters</t>
  </si>
  <si>
    <t>From</t>
  </si>
  <si>
    <t>To</t>
  </si>
  <si>
    <t>inches</t>
  </si>
  <si>
    <t>lbs</t>
  </si>
  <si>
    <t>Forward</t>
  </si>
  <si>
    <t>Aft</t>
  </si>
  <si>
    <t>Coordinates</t>
  </si>
  <si>
    <t>Available/unused load</t>
  </si>
  <si>
    <t>Maximum load</t>
  </si>
  <si>
    <t>kg</t>
  </si>
  <si>
    <t>Available/unused load as fuel</t>
  </si>
  <si>
    <t>us gallons</t>
  </si>
  <si>
    <t>LN-EDB</t>
  </si>
  <si>
    <t>Empty fuel moment</t>
  </si>
  <si>
    <t>Empty fuel weight</t>
  </si>
  <si>
    <t>Empty fuel</t>
  </si>
  <si>
    <t>Empty fuel arm</t>
  </si>
  <si>
    <t>Fuel development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</si>
</sst>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;[Red]0.0"/>
    <numFmt numFmtId="174" formatCode="0.0_ ;[Red]\-0.0\ 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right"/>
    </xf>
    <xf numFmtId="172" fontId="0" fillId="34" borderId="0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172" fontId="0" fillId="34" borderId="0" xfId="0" applyNumberFormat="1" applyFill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4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969"/>
          <c:h val="0.973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Constants!$B$16:$B$20</c:f>
              <c:numCache>
                <c:ptCount val="5"/>
                <c:pt idx="0">
                  <c:v>838.1999999999999</c:v>
                </c:pt>
                <c:pt idx="1">
                  <c:v>838.1999999999999</c:v>
                </c:pt>
                <c:pt idx="2">
                  <c:v>1038.86</c:v>
                </c:pt>
                <c:pt idx="3">
                  <c:v>1168.3999999999999</c:v>
                </c:pt>
                <c:pt idx="4">
                  <c:v>1168.3999999999999</c:v>
                </c:pt>
              </c:numCache>
            </c:numRef>
          </c:xVal>
          <c:yVal>
            <c:numRef>
              <c:f>Constants!$D$16:$D$20</c:f>
              <c:numCache>
                <c:ptCount val="5"/>
                <c:pt idx="0">
                  <c:v>0</c:v>
                </c:pt>
                <c:pt idx="1">
                  <c:v>1020.5828333558512</c:v>
                </c:pt>
                <c:pt idx="2">
                  <c:v>1406.1363481791727</c:v>
                </c:pt>
                <c:pt idx="3">
                  <c:v>1406.1363481791727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Constants!$F$16:$F$18</c:f>
              <c:numCache>
                <c:ptCount val="3"/>
                <c:pt idx="0">
                  <c:v>0</c:v>
                </c:pt>
                <c:pt idx="1">
                  <c:v>1008.4404369353056</c:v>
                </c:pt>
                <c:pt idx="2">
                  <c:v>1008.4404369353056</c:v>
                </c:pt>
              </c:numCache>
            </c:numRef>
          </c:xVal>
          <c:yVal>
            <c:numRef>
              <c:f>Constants!$H$16:$H$18</c:f>
              <c:numCache>
                <c:ptCount val="3"/>
                <c:pt idx="0">
                  <c:v>1128.5125280144</c:v>
                </c:pt>
                <c:pt idx="1">
                  <c:v>1128.5125280144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W&amp;B No fuel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Constants!$F$22:$F$24</c:f>
              <c:numCache>
                <c:ptCount val="3"/>
                <c:pt idx="0">
                  <c:v>0</c:v>
                </c:pt>
                <c:pt idx="1">
                  <c:v>962.66</c:v>
                </c:pt>
                <c:pt idx="2">
                  <c:v>962.66</c:v>
                </c:pt>
              </c:numCache>
            </c:numRef>
          </c:xVal>
          <c:yVal>
            <c:numRef>
              <c:f>Constants!$H$22:$H$24</c:f>
              <c:numCache>
                <c:ptCount val="3"/>
                <c:pt idx="0">
                  <c:v>892</c:v>
                </c:pt>
                <c:pt idx="1">
                  <c:v>892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Fuel development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Constants!$F$26:$F$27</c:f>
              <c:numCache>
                <c:ptCount val="2"/>
                <c:pt idx="0">
                  <c:v>1008.4404369353056</c:v>
                </c:pt>
                <c:pt idx="1">
                  <c:v>962.66</c:v>
                </c:pt>
              </c:numCache>
            </c:numRef>
          </c:xVal>
          <c:yVal>
            <c:numRef>
              <c:f>Constants!$H$26:$H$27</c:f>
              <c:numCache>
                <c:ptCount val="2"/>
                <c:pt idx="0">
                  <c:v>1128.5125280144</c:v>
                </c:pt>
                <c:pt idx="1">
                  <c:v>892</c:v>
                </c:pt>
              </c:numCache>
            </c:numRef>
          </c:yVal>
          <c:smooth val="0"/>
        </c:ser>
        <c:axId val="29380703"/>
        <c:axId val="63099736"/>
      </c:scatterChart>
      <c:valAx>
        <c:axId val="29380703"/>
        <c:scaling>
          <c:orientation val="minMax"/>
          <c:max val="1200"/>
          <c:min val="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99736"/>
        <c:crosses val="autoZero"/>
        <c:crossBetween val="midCat"/>
        <c:dispUnits/>
        <c:majorUnit val="50"/>
      </c:valAx>
      <c:valAx>
        <c:axId val="63099736"/>
        <c:scaling>
          <c:orientation val="minMax"/>
          <c:max val="1500"/>
          <c:min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0703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104775</xdr:rowOff>
    </xdr:from>
    <xdr:to>
      <xdr:col>4</xdr:col>
      <xdr:colOff>1057275</xdr:colOff>
      <xdr:row>50</xdr:row>
      <xdr:rowOff>0</xdr:rowOff>
    </xdr:to>
    <xdr:graphicFrame>
      <xdr:nvGraphicFramePr>
        <xdr:cNvPr id="1" name="Diagram 1"/>
        <xdr:cNvGraphicFramePr/>
      </xdr:nvGraphicFramePr>
      <xdr:xfrm>
        <a:off x="19050" y="3781425"/>
        <a:ext cx="54197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29.140625" style="0" customWidth="1"/>
    <col min="2" max="2" width="11.8515625" style="0" customWidth="1"/>
    <col min="3" max="3" width="13.28125" style="0" customWidth="1"/>
    <col min="4" max="4" width="11.421875" style="0" customWidth="1"/>
    <col min="5" max="5" width="16.140625" style="0" customWidth="1"/>
    <col min="6" max="6" width="11.421875" style="17" customWidth="1"/>
    <col min="7" max="16384" width="9.140625" style="0" customWidth="1"/>
  </cols>
  <sheetData>
    <row r="1" spans="1:5" ht="33" customHeight="1">
      <c r="A1" s="38" t="s">
        <v>35</v>
      </c>
      <c r="B1" s="39"/>
      <c r="C1" s="39"/>
      <c r="D1" s="39"/>
      <c r="E1" s="39"/>
    </row>
    <row r="2" spans="1:5" ht="12.75">
      <c r="A2" s="24" t="s">
        <v>14</v>
      </c>
      <c r="B2" s="1" t="s">
        <v>4</v>
      </c>
      <c r="C2" s="1" t="s">
        <v>5</v>
      </c>
      <c r="D2" s="1" t="s">
        <v>2</v>
      </c>
      <c r="E2" s="1" t="s">
        <v>3</v>
      </c>
    </row>
    <row r="3" spans="1:5" ht="12.75">
      <c r="A3" s="2" t="s">
        <v>6</v>
      </c>
      <c r="B3" s="2"/>
      <c r="C3" s="7">
        <v>892</v>
      </c>
      <c r="D3" s="16">
        <v>962.66</v>
      </c>
      <c r="E3" s="13">
        <f>C3*D3</f>
        <v>858692.72</v>
      </c>
    </row>
    <row r="4" spans="1:6" ht="12.75">
      <c r="A4" t="s">
        <v>0</v>
      </c>
      <c r="C4" s="23">
        <v>0</v>
      </c>
      <c r="D4" s="13"/>
      <c r="E4" s="13"/>
      <c r="F4" s="18"/>
    </row>
    <row r="5" spans="1:6" ht="12.75">
      <c r="A5" s="2" t="s">
        <v>7</v>
      </c>
      <c r="B5" s="2"/>
      <c r="C5" s="21">
        <v>0</v>
      </c>
      <c r="D5" s="15"/>
      <c r="E5" s="13"/>
      <c r="F5" s="18"/>
    </row>
    <row r="6" spans="1:5" ht="12.75">
      <c r="A6" s="4" t="s">
        <v>8</v>
      </c>
      <c r="B6" s="4"/>
      <c r="C6" s="8">
        <f>SUM(C4:C5)</f>
        <v>0</v>
      </c>
      <c r="D6" s="13">
        <v>939.8</v>
      </c>
      <c r="E6" s="13">
        <f>C6*D6</f>
        <v>0</v>
      </c>
    </row>
    <row r="7" spans="1:6" ht="12.75">
      <c r="A7" t="s">
        <v>9</v>
      </c>
      <c r="C7" s="23">
        <v>0</v>
      </c>
      <c r="D7" s="13"/>
      <c r="E7" s="13"/>
      <c r="F7" s="18"/>
    </row>
    <row r="8" spans="1:6" ht="12.75">
      <c r="A8" t="s">
        <v>10</v>
      </c>
      <c r="B8" s="2"/>
      <c r="C8" s="21">
        <v>0</v>
      </c>
      <c r="D8" s="13"/>
      <c r="E8" s="13"/>
      <c r="F8" s="18"/>
    </row>
    <row r="9" spans="1:5" ht="12.75">
      <c r="A9" s="5" t="s">
        <v>12</v>
      </c>
      <c r="B9" s="5"/>
      <c r="C9" s="8">
        <f>SUM(C7:C8)</f>
        <v>0</v>
      </c>
      <c r="D9" s="13">
        <v>1879.6</v>
      </c>
      <c r="E9" s="13">
        <f>C9*D9</f>
        <v>0</v>
      </c>
    </row>
    <row r="10" spans="1:6" ht="12.75">
      <c r="A10" s="4" t="s">
        <v>1</v>
      </c>
      <c r="B10" s="22">
        <v>88</v>
      </c>
      <c r="C10" s="8">
        <f>B10*Constants!B3*Constants!B5</f>
        <v>236.5125280144</v>
      </c>
      <c r="D10" s="13">
        <v>1181.1</v>
      </c>
      <c r="E10" s="13">
        <f>C10*D10</f>
        <v>279344.94683780783</v>
      </c>
      <c r="F10" s="19"/>
    </row>
    <row r="11" spans="1:5" ht="12.75">
      <c r="A11" s="25" t="s">
        <v>15</v>
      </c>
      <c r="B11" s="3"/>
      <c r="C11" s="20">
        <v>0</v>
      </c>
      <c r="D11" s="13">
        <v>2413</v>
      </c>
      <c r="E11" s="13">
        <f>C11*D11</f>
        <v>0</v>
      </c>
    </row>
    <row r="12" spans="1:5" ht="12.75">
      <c r="A12" s="25" t="s">
        <v>16</v>
      </c>
      <c r="B12" s="3"/>
      <c r="C12" s="20">
        <v>0</v>
      </c>
      <c r="D12" s="13">
        <v>2946.4</v>
      </c>
      <c r="E12" s="13">
        <f>C12*D12</f>
        <v>0</v>
      </c>
    </row>
    <row r="13" spans="1:6" ht="12.75">
      <c r="A13" s="26" t="s">
        <v>18</v>
      </c>
      <c r="B13" s="2"/>
      <c r="C13" s="21">
        <v>0</v>
      </c>
      <c r="D13" s="13">
        <v>3276.6</v>
      </c>
      <c r="E13" s="13">
        <f>C13*D13</f>
        <v>0</v>
      </c>
      <c r="F13" s="18"/>
    </row>
    <row r="14" spans="1:6" ht="12.75">
      <c r="A14" s="25" t="s">
        <v>17</v>
      </c>
      <c r="B14" s="14"/>
      <c r="C14" s="9">
        <f>SUM(C11:C13)</f>
        <v>0</v>
      </c>
      <c r="D14" s="13"/>
      <c r="E14" s="11"/>
      <c r="F14" s="18"/>
    </row>
    <row r="15" spans="1:5" ht="13.5" thickBot="1">
      <c r="A15" s="27" t="str">
        <f>CONCATENATE("Total load (max ",C17," kg)")</f>
        <v>Total load (max 1406 kg)</v>
      </c>
      <c r="B15" s="6"/>
      <c r="C15" s="10">
        <f>C3+C6+C9+C10+C14</f>
        <v>1128.5125280144</v>
      </c>
      <c r="D15" s="12">
        <f>E15/C15</f>
        <v>1008.4404369353056</v>
      </c>
      <c r="E15" s="12">
        <f>SUM(E3:E13)</f>
        <v>1138037.6668378077</v>
      </c>
    </row>
    <row r="16" ht="13.5" thickTop="1"/>
    <row r="17" spans="1:4" ht="12.75">
      <c r="A17" t="s">
        <v>31</v>
      </c>
      <c r="C17" s="31">
        <v>1406</v>
      </c>
      <c r="D17" t="s">
        <v>32</v>
      </c>
    </row>
    <row r="18" spans="1:4" ht="12.75">
      <c r="A18" t="s">
        <v>30</v>
      </c>
      <c r="C18" s="35">
        <f>C17-C15</f>
        <v>277.4874719856</v>
      </c>
      <c r="D18" t="s">
        <v>32</v>
      </c>
    </row>
    <row r="19" spans="1:4" ht="12.75">
      <c r="A19" s="30" t="s">
        <v>33</v>
      </c>
      <c r="C19" s="35">
        <f>(C18/Constants!B5)/Constants!B3</f>
        <v>103.2456831768593</v>
      </c>
      <c r="D19" s="30" t="s">
        <v>34</v>
      </c>
    </row>
  </sheetData>
  <sheetProtection sheet="1"/>
  <mergeCells count="1">
    <mergeCell ref="A1:E1"/>
  </mergeCells>
  <conditionalFormatting sqref="C15">
    <cfRule type="expression" priority="1" dxfId="0" stopIfTrue="1">
      <formula>$C$15&gt;$C$17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23.00390625" style="0" customWidth="1"/>
    <col min="2" max="2" width="11.421875" style="0" customWidth="1"/>
    <col min="3" max="3" width="4.7109375" style="0" customWidth="1"/>
    <col min="4" max="4" width="11.421875" style="0" customWidth="1"/>
    <col min="5" max="5" width="4.7109375" style="0" customWidth="1"/>
    <col min="6" max="6" width="11.421875" style="0" customWidth="1"/>
    <col min="7" max="7" width="6.7109375" style="0" customWidth="1"/>
    <col min="8" max="8" width="11.421875" style="0" customWidth="1"/>
    <col min="9" max="9" width="6.28125" style="0" customWidth="1"/>
    <col min="10" max="16384" width="9.140625" style="0" customWidth="1"/>
  </cols>
  <sheetData>
    <row r="2" spans="1:2" ht="12.75">
      <c r="A2" s="28" t="s">
        <v>19</v>
      </c>
      <c r="B2">
        <v>2.20462262</v>
      </c>
    </row>
    <row r="3" spans="1:2" ht="12.75">
      <c r="A3" s="28" t="s">
        <v>20</v>
      </c>
      <c r="B3">
        <v>3.78541178</v>
      </c>
    </row>
    <row r="4" spans="1:2" ht="12.75">
      <c r="A4" s="29" t="s">
        <v>22</v>
      </c>
      <c r="B4">
        <v>25.4</v>
      </c>
    </row>
    <row r="5" spans="1:2" ht="12.75">
      <c r="A5" s="28" t="s">
        <v>21</v>
      </c>
      <c r="B5">
        <v>0.71</v>
      </c>
    </row>
    <row r="6" ht="12.75">
      <c r="A6" s="28"/>
    </row>
    <row r="7" spans="1:2" ht="12.75">
      <c r="A7" s="28" t="s">
        <v>36</v>
      </c>
      <c r="B7" s="36">
        <f>'W&amp;B EDB'!E15-'W&amp;B EDB'!E10</f>
        <v>858692.72</v>
      </c>
    </row>
    <row r="8" spans="1:2" ht="12.75">
      <c r="A8" s="28" t="s">
        <v>37</v>
      </c>
      <c r="B8" s="36">
        <f>'W&amp;B EDB'!C15-'W&amp;B EDB'!C10</f>
        <v>892</v>
      </c>
    </row>
    <row r="9" spans="1:2" ht="12.75">
      <c r="A9" s="28" t="s">
        <v>39</v>
      </c>
      <c r="B9" s="36">
        <f>B7/B8</f>
        <v>962.66</v>
      </c>
    </row>
    <row r="10" ht="12.75">
      <c r="A10" s="28"/>
    </row>
    <row r="11" spans="1:9" ht="12.75">
      <c r="A11" s="32"/>
      <c r="B11" s="40" t="s">
        <v>23</v>
      </c>
      <c r="C11" s="40"/>
      <c r="D11" s="40" t="s">
        <v>24</v>
      </c>
      <c r="E11" s="40"/>
      <c r="F11" s="33" t="s">
        <v>27</v>
      </c>
      <c r="G11" s="33"/>
      <c r="H11" s="33" t="s">
        <v>28</v>
      </c>
      <c r="I11" s="34"/>
    </row>
    <row r="12" spans="1:9" ht="12.75">
      <c r="A12" s="28" t="s">
        <v>11</v>
      </c>
      <c r="B12" s="30">
        <v>0</v>
      </c>
      <c r="C12" s="30" t="s">
        <v>26</v>
      </c>
      <c r="D12">
        <v>2250</v>
      </c>
      <c r="E12" s="30" t="s">
        <v>26</v>
      </c>
      <c r="F12" s="31">
        <v>33</v>
      </c>
      <c r="G12" s="30" t="s">
        <v>25</v>
      </c>
      <c r="H12" s="31">
        <v>46</v>
      </c>
      <c r="I12" s="30" t="s">
        <v>25</v>
      </c>
    </row>
    <row r="13" spans="1:9" ht="12.75">
      <c r="A13" s="28" t="s">
        <v>13</v>
      </c>
      <c r="B13" s="30">
        <v>2250</v>
      </c>
      <c r="C13" s="30" t="s">
        <v>26</v>
      </c>
      <c r="D13">
        <v>3100</v>
      </c>
      <c r="E13" s="30" t="s">
        <v>26</v>
      </c>
      <c r="F13" s="31">
        <v>40.9</v>
      </c>
      <c r="G13" s="30" t="s">
        <v>25</v>
      </c>
      <c r="H13" s="31">
        <v>46</v>
      </c>
      <c r="I13" s="30" t="s">
        <v>25</v>
      </c>
    </row>
    <row r="16" spans="1:8" ht="12.75">
      <c r="A16" s="28" t="s">
        <v>29</v>
      </c>
      <c r="B16" s="31">
        <f>F12*$B$4</f>
        <v>838.1999999999999</v>
      </c>
      <c r="C16" s="31"/>
      <c r="D16" s="31">
        <v>0</v>
      </c>
      <c r="F16" s="31">
        <v>0</v>
      </c>
      <c r="G16" s="31"/>
      <c r="H16" s="31">
        <f>'W&amp;B EDB'!C15</f>
        <v>1128.5125280144</v>
      </c>
    </row>
    <row r="17" spans="2:8" ht="12.75">
      <c r="B17" s="31">
        <f>B16</f>
        <v>838.1999999999999</v>
      </c>
      <c r="C17" s="31"/>
      <c r="D17" s="31">
        <f>D12/B2</f>
        <v>1020.5828333558512</v>
      </c>
      <c r="F17" s="31">
        <f>'W&amp;B EDB'!D15</f>
        <v>1008.4404369353056</v>
      </c>
      <c r="G17" s="31"/>
      <c r="H17" s="31">
        <f>'W&amp;B EDB'!C15</f>
        <v>1128.5125280144</v>
      </c>
    </row>
    <row r="18" spans="2:8" ht="12.75">
      <c r="B18" s="31">
        <f>F13*$B$4</f>
        <v>1038.86</v>
      </c>
      <c r="C18" s="31"/>
      <c r="D18" s="31">
        <f>3100/B2</f>
        <v>1406.1363481791727</v>
      </c>
      <c r="F18" s="31">
        <f>'W&amp;B EDB'!D15</f>
        <v>1008.4404369353056</v>
      </c>
      <c r="G18" s="31"/>
      <c r="H18" s="31">
        <v>0</v>
      </c>
    </row>
    <row r="19" spans="2:4" ht="12.75">
      <c r="B19" s="31">
        <f>H12*B4</f>
        <v>1168.3999999999999</v>
      </c>
      <c r="C19" s="31"/>
      <c r="D19" s="31">
        <f>D18</f>
        <v>1406.1363481791727</v>
      </c>
    </row>
    <row r="20" spans="2:4" ht="12.75">
      <c r="B20" s="31">
        <f>H13*B4</f>
        <v>1168.3999999999999</v>
      </c>
      <c r="C20" s="31"/>
      <c r="D20" s="31">
        <v>0</v>
      </c>
    </row>
    <row r="22" spans="1:8" ht="12.75">
      <c r="A22" s="28" t="s">
        <v>38</v>
      </c>
      <c r="F22">
        <v>0</v>
      </c>
      <c r="H22" s="36">
        <f>B8</f>
        <v>892</v>
      </c>
    </row>
    <row r="23" spans="1:8" ht="12.75">
      <c r="A23" s="37"/>
      <c r="F23" s="36">
        <f>B9</f>
        <v>962.66</v>
      </c>
      <c r="H23" s="36">
        <f>B8</f>
        <v>892</v>
      </c>
    </row>
    <row r="24" spans="6:8" ht="12.75">
      <c r="F24" s="36">
        <f>B9</f>
        <v>962.66</v>
      </c>
      <c r="H24">
        <v>0</v>
      </c>
    </row>
    <row r="26" spans="1:8" ht="12.75">
      <c r="A26" s="28" t="s">
        <v>40</v>
      </c>
      <c r="F26" s="36">
        <f>F17</f>
        <v>1008.4404369353056</v>
      </c>
      <c r="G26" s="36"/>
      <c r="H26" s="36">
        <f>H17</f>
        <v>1128.5125280144</v>
      </c>
    </row>
    <row r="27" spans="6:8" ht="12.75">
      <c r="F27" s="36">
        <f>F23</f>
        <v>962.66</v>
      </c>
      <c r="G27" s="36"/>
      <c r="H27" s="36">
        <f>H23</f>
        <v>892</v>
      </c>
    </row>
  </sheetData>
  <sheetProtection/>
  <mergeCells count="2">
    <mergeCell ref="B11:C11"/>
    <mergeCell ref="D11:E1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Bjerkeset Svein Olav</cp:lastModifiedBy>
  <cp:lastPrinted>2011-11-23T21:03:25Z</cp:lastPrinted>
  <dcterms:created xsi:type="dcterms:W3CDTF">2008-04-24T08:58:39Z</dcterms:created>
  <dcterms:modified xsi:type="dcterms:W3CDTF">2016-05-03T06:58:48Z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