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<sst xmlns="http://schemas.openxmlformats.org/spreadsheetml/2006/main" count="90" uniqueCount="80">
  <si>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</si>
  <si>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</si>
  <si>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</si>
  <si>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</si>
  <si>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</si>
  <si>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</si>
  <si>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</si>
  <si>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</si>
  <si>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</si>
  <si>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</si>
  <si>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</si>
  <si>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</si>
  <si>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</si>
  <si>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</si>
  <si>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</si>
  <si>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</si>
  <si>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</si>
  <si>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</si>
  <si>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</si>
  <si>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</si>
  <si>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</si>
  <si>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</si>
  <si>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</si>
  <si>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</si>
  <si>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</si>
  <si>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</si>
  <si>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</si>
  <si>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</si>
  <si>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</si>
  <si>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</si>
  <si>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</si>
  <si>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</si>
  <si>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</si>
  <si>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</si>
  <si>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</si>
  <si>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</si>
  <si>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</si>
  <si>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</si>
  <si>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</si>
  <si>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</si>
  <si>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</si>
  <si>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</si>
  <si>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</si>
  <si>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</si>
  <si>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</si>
  <si>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</si>
  <si>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</si>
  <si>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</si>
  <si>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</si>
  <si>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</si>
  <si>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</si>
  <si>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</si>
  <si>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</si>
  <si>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</si>
  <si>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</si>
  <si>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</si>
  <si>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</si>
  <si>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</si>
  <si>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</si>
  <si>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</si>
  <si>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</si>
  <si>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EDCP</t>
  </si>
  <si>
    <t>ESMH</t>
  </si>
  <si>
    <t>EDCP - SALLO</t>
  </si>
  <si>
    <t>SALLO - Trelleborg</t>
  </si>
  <si>
    <t>Trelleborg - Lund</t>
  </si>
  <si>
    <t>Lund - ESMH</t>
  </si>
  <si>
    <t>AFIS</t>
  </si>
  <si>
    <t>122.47</t>
  </si>
  <si>
    <t>13 (RH) / 31  800'</t>
  </si>
  <si>
    <t>ATC</t>
  </si>
  <si>
    <t>Bremen: 132.65</t>
  </si>
  <si>
    <t>7'</t>
  </si>
  <si>
    <t>14 / 32 RH (06 RH / 24)</t>
  </si>
  <si>
    <t>Radio</t>
  </si>
  <si>
    <t>123.55</t>
  </si>
  <si>
    <t>Ängelholm: 132.45</t>
  </si>
  <si>
    <t>21'</t>
  </si>
  <si>
    <t>133.80</t>
  </si>
  <si>
    <t>Sweden: 124.85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</si>
</sst>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0">
      <selection activeCell="I28" sqref="I28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27" t="s">
        <v>57</v>
      </c>
      <c r="I2" s="127"/>
      <c r="J2" s="127"/>
      <c r="K2" s="128"/>
      <c r="L2" s="59" t="s">
        <v>38</v>
      </c>
      <c r="M2" s="148"/>
      <c r="N2" s="149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15" t="s">
        <v>33</v>
      </c>
      <c r="B3" s="116"/>
      <c r="C3" s="132" t="s">
        <v>61</v>
      </c>
      <c r="D3" s="133"/>
      <c r="E3" s="133"/>
      <c r="F3" s="133"/>
      <c r="G3" s="134"/>
      <c r="H3" s="64" t="s">
        <v>15</v>
      </c>
      <c r="I3" s="129" t="str">
        <f>VLOOKUP(H2,Fly!A3:C104,2,FALSE)</f>
        <v>C182</v>
      </c>
      <c r="J3" s="130"/>
      <c r="K3" s="131"/>
      <c r="L3" s="65" t="s">
        <v>39</v>
      </c>
      <c r="M3" s="150"/>
      <c r="N3" s="151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35" t="s">
        <v>62</v>
      </c>
      <c r="D4" s="136"/>
      <c r="E4" s="136"/>
      <c r="F4" s="136"/>
      <c r="G4" s="137"/>
      <c r="H4" s="64" t="s">
        <v>25</v>
      </c>
      <c r="I4" s="138">
        <v>41434</v>
      </c>
      <c r="J4" s="139"/>
      <c r="K4" s="140"/>
      <c r="L4" s="68" t="s">
        <v>37</v>
      </c>
      <c r="M4" s="152"/>
      <c r="N4" s="153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13" t="s">
        <v>23</v>
      </c>
      <c r="B6" s="114"/>
      <c r="C6" s="72" t="s">
        <v>0</v>
      </c>
      <c r="D6" s="72" t="s">
        <v>41</v>
      </c>
      <c r="E6" s="156" t="s">
        <v>26</v>
      </c>
      <c r="F6" s="157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1000</v>
      </c>
      <c r="B8" s="39">
        <v>4500</v>
      </c>
      <c r="C8" s="39">
        <v>125</v>
      </c>
      <c r="D8" s="101">
        <v>344</v>
      </c>
      <c r="E8" s="99">
        <v>0</v>
      </c>
      <c r="F8" s="46">
        <v>0</v>
      </c>
      <c r="G8" s="43">
        <f>GroundSpeed(C8,D8,E8,F8)</f>
        <v>125</v>
      </c>
      <c r="H8" s="96">
        <f>ROUND(WindCorrectionAngle(C8,D8,E8,F8),0)</f>
        <v>0</v>
      </c>
      <c r="I8" s="102">
        <f aca="true" t="shared" si="0" ref="I8:I21">IF(OR(ISBLANK(D8),ISBLANK(H8)),"",AddDegrees(D8,H8))</f>
        <v>344</v>
      </c>
      <c r="J8" s="92">
        <v>3</v>
      </c>
      <c r="K8" s="104">
        <f aca="true" t="shared" si="1" ref="K8:K21">IF(OR(ISBLANK(I8),ISBLANK(J8)),"",AddDegrees(I8,-J8))</f>
        <v>341</v>
      </c>
      <c r="L8" s="158" t="s">
        <v>63</v>
      </c>
      <c r="M8" s="23">
        <v>48</v>
      </c>
      <c r="N8" s="22">
        <f aca="true" t="shared" si="2" ref="N8:N21">IF(OR(ISBLANK(G8),ISBLANK(M8)),"",M8/G8*60)</f>
        <v>23.04</v>
      </c>
      <c r="O8" s="30"/>
      <c r="P8" s="31"/>
      <c r="Q8" s="31"/>
      <c r="R8" s="32"/>
      <c r="S8" s="16"/>
      <c r="T8" s="53"/>
    </row>
    <row r="9" spans="1:22" ht="19.5" customHeight="1">
      <c r="A9" s="48">
        <v>1000</v>
      </c>
      <c r="B9" s="40">
        <v>4500</v>
      </c>
      <c r="C9" s="40">
        <v>125</v>
      </c>
      <c r="D9" s="99">
        <v>344</v>
      </c>
      <c r="E9" s="99">
        <v>0</v>
      </c>
      <c r="F9" s="46">
        <v>0</v>
      </c>
      <c r="G9" s="109">
        <f>GroundSpeed(C9,D9,E9,F9)</f>
        <v>125</v>
      </c>
      <c r="H9" s="97">
        <f>ROUND(WindCorrectionAngle(C9,D9,E9,F9),0)</f>
        <v>0</v>
      </c>
      <c r="I9" s="102">
        <f t="shared" si="0"/>
        <v>344</v>
      </c>
      <c r="J9" s="93">
        <v>3</v>
      </c>
      <c r="K9" s="105">
        <f t="shared" si="1"/>
        <v>341</v>
      </c>
      <c r="L9" s="24" t="s">
        <v>64</v>
      </c>
      <c r="M9" s="25">
        <v>29</v>
      </c>
      <c r="N9" s="22">
        <f t="shared" si="2"/>
        <v>13.92</v>
      </c>
      <c r="O9" s="33"/>
      <c r="P9" s="34"/>
      <c r="Q9" s="34"/>
      <c r="R9" s="35" t="s">
        <v>78</v>
      </c>
      <c r="S9" s="16"/>
      <c r="V9" s="53"/>
    </row>
    <row r="10" spans="1:19" ht="19.5" customHeight="1">
      <c r="A10" s="48">
        <v>1000</v>
      </c>
      <c r="B10" s="40">
        <v>4500</v>
      </c>
      <c r="C10" s="40">
        <v>125</v>
      </c>
      <c r="D10" s="99">
        <v>3</v>
      </c>
      <c r="E10" s="99">
        <v>0</v>
      </c>
      <c r="F10" s="46">
        <v>0</v>
      </c>
      <c r="G10" s="44">
        <f>GroundSpeed(C10,D10,E10,F10)</f>
        <v>125</v>
      </c>
      <c r="H10" s="97">
        <f>ROUND(WindCorrectionAngle(C10,D10,E10,F10),0)</f>
        <v>0</v>
      </c>
      <c r="I10" s="102">
        <f t="shared" si="0"/>
        <v>3</v>
      </c>
      <c r="J10" s="94">
        <v>3</v>
      </c>
      <c r="K10" s="105">
        <f t="shared" si="1"/>
        <v>360</v>
      </c>
      <c r="L10" s="24" t="s">
        <v>65</v>
      </c>
      <c r="M10" s="25">
        <v>19</v>
      </c>
      <c r="N10" s="22">
        <f t="shared" si="2"/>
        <v>9.12</v>
      </c>
      <c r="O10" s="33"/>
      <c r="P10" s="34"/>
      <c r="Q10" s="34"/>
      <c r="R10" s="35"/>
      <c r="S10" s="16"/>
    </row>
    <row r="11" spans="1:19" ht="19.5" customHeight="1">
      <c r="A11" s="48">
        <v>1100</v>
      </c>
      <c r="B11" s="40">
        <v>4500</v>
      </c>
      <c r="C11" s="40">
        <v>120</v>
      </c>
      <c r="D11" s="99">
        <v>325</v>
      </c>
      <c r="E11" s="99">
        <v>0</v>
      </c>
      <c r="F11" s="46">
        <v>0</v>
      </c>
      <c r="G11" s="44">
        <f>GroundSpeed(C11,D11,E11,F11)</f>
        <v>120</v>
      </c>
      <c r="H11" s="97">
        <f>ROUND(WindCorrectionAngle(C11,D11,E11,F11),0)</f>
        <v>0</v>
      </c>
      <c r="I11" s="102">
        <f t="shared" si="0"/>
        <v>325</v>
      </c>
      <c r="J11" s="94">
        <v>3</v>
      </c>
      <c r="K11" s="105">
        <f t="shared" si="1"/>
        <v>322</v>
      </c>
      <c r="L11" s="24" t="s">
        <v>66</v>
      </c>
      <c r="M11" s="25">
        <v>35</v>
      </c>
      <c r="N11" s="22">
        <f t="shared" si="2"/>
        <v>17.5</v>
      </c>
      <c r="O11" s="33"/>
      <c r="P11" s="34"/>
      <c r="Q11" s="34"/>
      <c r="R11" s="35"/>
      <c r="S11" s="16"/>
    </row>
    <row r="12" spans="1:19" ht="19.5" customHeight="1">
      <c r="A12" s="48"/>
      <c r="B12" s="40"/>
      <c r="C12" s="40"/>
      <c r="D12" s="99"/>
      <c r="E12" s="99"/>
      <c r="F12" s="46"/>
      <c r="G12" s="44"/>
      <c r="H12" s="97"/>
      <c r="I12" s="102">
        <f t="shared" si="0"/>
      </c>
      <c r="J12" s="94"/>
      <c r="K12" s="105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9"/>
      <c r="E13" s="99"/>
      <c r="F13" s="46"/>
      <c r="G13" s="44"/>
      <c r="H13" s="97"/>
      <c r="I13" s="102">
        <f t="shared" si="0"/>
      </c>
      <c r="J13" s="94"/>
      <c r="K13" s="105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53</v>
      </c>
      <c r="M22" s="28">
        <f>SUM(M8:M21)</f>
        <v>131</v>
      </c>
      <c r="N22" s="29">
        <f>SUM(N8:N21)</f>
        <v>63.58</v>
      </c>
      <c r="O22" s="3"/>
      <c r="P22" s="5" t="s">
        <v>52</v>
      </c>
      <c r="R22" s="8" t="s">
        <v>6</v>
      </c>
    </row>
    <row r="23" ht="12.75" customHeight="1"/>
    <row r="24" spans="1:18" ht="15.75" thickBot="1">
      <c r="A24" s="6" t="s">
        <v>56</v>
      </c>
      <c r="E24" s="2"/>
      <c r="F24" s="2"/>
      <c r="K24" s="6" t="str">
        <f>CONCATENATE("Departure: ",C3,E3)</f>
        <v>Departure: EDCP</v>
      </c>
      <c r="L24" s="4"/>
      <c r="M24" s="4"/>
      <c r="N24" s="4"/>
      <c r="O24" s="6" t="str">
        <f>CONCATENATE("Destination: ",C4,E4)</f>
        <v>Destination: ESMH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14</v>
      </c>
      <c r="K25" s="84" t="s">
        <v>49</v>
      </c>
      <c r="L25" s="123" t="s">
        <v>69</v>
      </c>
      <c r="M25" s="124"/>
      <c r="N25" s="7"/>
      <c r="O25" s="84" t="s">
        <v>49</v>
      </c>
      <c r="P25" s="117" t="s">
        <v>73</v>
      </c>
      <c r="Q25" s="118"/>
      <c r="R25" s="119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26.6021</v>
      </c>
      <c r="K26" s="85" t="s">
        <v>67</v>
      </c>
      <c r="L26" s="125" t="s">
        <v>68</v>
      </c>
      <c r="M26" s="126"/>
      <c r="N26" s="7"/>
      <c r="O26" s="85" t="s">
        <v>74</v>
      </c>
      <c r="P26" s="120" t="s">
        <v>75</v>
      </c>
      <c r="Q26" s="121"/>
      <c r="R26" s="122"/>
    </row>
    <row r="27" spans="1:18" ht="19.5" customHeight="1">
      <c r="A27" s="13" t="s">
        <v>48</v>
      </c>
      <c r="B27" s="14"/>
      <c r="C27" s="14"/>
      <c r="D27" s="15"/>
      <c r="E27" s="111">
        <v>10</v>
      </c>
      <c r="F27" s="14" t="s">
        <v>50</v>
      </c>
      <c r="G27" s="15"/>
      <c r="H27" s="15" t="s">
        <v>7</v>
      </c>
      <c r="I27" s="112">
        <f>I25*(E27/60)+I26</f>
        <v>28.935433333333332</v>
      </c>
      <c r="K27" s="85" t="s">
        <v>70</v>
      </c>
      <c r="L27" s="154" t="s">
        <v>71</v>
      </c>
      <c r="M27" s="155"/>
      <c r="N27" s="7"/>
      <c r="O27" s="85" t="s">
        <v>70</v>
      </c>
      <c r="P27" s="120" t="s">
        <v>79</v>
      </c>
      <c r="Q27" s="121"/>
      <c r="R27" s="122"/>
    </row>
    <row r="28" spans="1:18" ht="19.5" customHeight="1">
      <c r="A28" s="54" t="s">
        <v>51</v>
      </c>
      <c r="B28" s="55"/>
      <c r="C28" s="55"/>
      <c r="D28" s="55"/>
      <c r="E28" s="55"/>
      <c r="F28" s="55"/>
      <c r="G28" s="55"/>
      <c r="H28" s="55" t="s">
        <v>7</v>
      </c>
      <c r="I28" s="88"/>
      <c r="K28" s="86"/>
      <c r="L28" s="125"/>
      <c r="M28" s="126"/>
      <c r="N28" s="7"/>
      <c r="O28" s="86"/>
      <c r="P28" s="120" t="s">
        <v>76</v>
      </c>
      <c r="Q28" s="121"/>
      <c r="R28" s="122"/>
    </row>
    <row r="29" spans="1:18" ht="19.5" customHeight="1" thickBot="1">
      <c r="A29" s="146" t="s">
        <v>54</v>
      </c>
      <c r="B29" s="147"/>
      <c r="C29" s="147"/>
      <c r="D29" s="147"/>
      <c r="E29" s="147"/>
      <c r="F29" s="147"/>
      <c r="G29" s="147"/>
      <c r="H29" s="56" t="s">
        <v>17</v>
      </c>
      <c r="I29" s="90">
        <f>IF(ISBLANK(I28),"",I28/(24*I25))</f>
      </c>
      <c r="K29" s="87" t="s">
        <v>60</v>
      </c>
      <c r="L29" s="141" t="s">
        <v>72</v>
      </c>
      <c r="M29" s="142"/>
      <c r="N29" s="7"/>
      <c r="O29" s="87" t="s">
        <v>60</v>
      </c>
      <c r="P29" s="143" t="s">
        <v>77</v>
      </c>
      <c r="Q29" s="144"/>
      <c r="R29" s="145"/>
    </row>
    <row r="30" ht="19.5" customHeight="1"/>
  </sheetData>
  <sheetProtection sheet="1"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57</v>
      </c>
      <c r="B4" t="s">
        <v>58</v>
      </c>
      <c r="C4" s="57">
        <v>14</v>
      </c>
      <c r="D4" s="57">
        <v>1.4</v>
      </c>
    </row>
    <row r="5" spans="1:4" ht="12.75">
      <c r="A5" t="s">
        <v>59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55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2013-06-02T19:33:06Z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