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<sst xmlns="http://schemas.openxmlformats.org/spreadsheetml/2006/main" count="81" uniqueCount="70">
  <si>
    <t>høyde</t>
  </si>
  <si>
    <t>F.L.</t>
  </si>
  <si>
    <t>TAS</t>
  </si>
  <si>
    <t>Min.</t>
  </si>
  <si>
    <t>Alt.</t>
  </si>
  <si>
    <t>Vind</t>
  </si>
  <si>
    <t>korr.</t>
  </si>
  <si>
    <t>G/S</t>
  </si>
  <si>
    <t>ØT</t>
  </si>
  <si>
    <t>RK</t>
  </si>
  <si>
    <t>MIS</t>
  </si>
  <si>
    <t>MK</t>
  </si>
  <si>
    <t>Fra/Til</t>
  </si>
  <si>
    <t>Dist.</t>
  </si>
  <si>
    <t>Tid</t>
  </si>
  <si>
    <t>ETO</t>
  </si>
  <si>
    <t>ATO</t>
  </si>
  <si>
    <t>Diff.</t>
  </si>
  <si>
    <t>Notater</t>
  </si>
  <si>
    <t>NAVIGASJONSPLAN</t>
  </si>
  <si>
    <t>Dato:</t>
  </si>
  <si>
    <t>Parkert:</t>
  </si>
  <si>
    <t>I bevegelse:</t>
  </si>
  <si>
    <t>Blokktid:</t>
  </si>
  <si>
    <t>Landet:</t>
  </si>
  <si>
    <t>I luften:</t>
  </si>
  <si>
    <t>Flygetid:</t>
  </si>
  <si>
    <t>Flytype:</t>
  </si>
  <si>
    <t>Landingsplass:</t>
  </si>
  <si>
    <t>Total distanse og tid:</t>
  </si>
  <si>
    <t>NM</t>
  </si>
  <si>
    <t>Avgangsplass:</t>
  </si>
  <si>
    <t>ATC:</t>
  </si>
  <si>
    <t>Tårn:</t>
  </si>
  <si>
    <t>Baner:</t>
  </si>
  <si>
    <t>QNH:</t>
  </si>
  <si>
    <t>Timer og min.:</t>
  </si>
  <si>
    <t>:</t>
  </si>
  <si>
    <t>Fuel-regnskap:</t>
  </si>
  <si>
    <t>USG:</t>
  </si>
  <si>
    <t xml:space="preserve">Beregnet forbruk pr. time, </t>
  </si>
  <si>
    <t>Nødvendig fuel inkl. 45 min. reserve,</t>
  </si>
  <si>
    <t>Fuel om bord ved avgang,</t>
  </si>
  <si>
    <t>Maksimal flytid (endurance):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</si>
  <si>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</si>
  <si>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</si>
  <si>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</si>
  <si>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</si>
  <si>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</si>
  <si>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</si>
  <si>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</si>
  <si>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</si>
  <si>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</si>
  <si>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Nødvendig fuel til alt AD (inkl reserve)</t>
  </si>
  <si>
    <t>HH:MM</t>
  </si>
  <si>
    <t>ENKJ</t>
  </si>
  <si>
    <t>ENNO</t>
  </si>
  <si>
    <t>ENKJ-Lutvann</t>
  </si>
  <si>
    <t>Lutvann-Drammen</t>
  </si>
  <si>
    <t>Drammen-Kongsberg</t>
  </si>
  <si>
    <t>Kongsberg-Meheia</t>
  </si>
  <si>
    <t>Meheia-ENNO</t>
  </si>
  <si>
    <t>12/30</t>
  </si>
  <si>
    <t>119.100</t>
  </si>
  <si>
    <t>118.475</t>
  </si>
  <si>
    <t>118.800</t>
  </si>
  <si>
    <t>Pattern:</t>
  </si>
  <si>
    <t>12RH 30LH</t>
  </si>
  <si>
    <t>120.450</t>
  </si>
  <si>
    <t>134.050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</si>
</sst>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33" xfId="0" applyNumberFormat="1" applyFont="1" applyFill="1" applyBorder="1" applyAlignment="1">
      <alignment/>
    </xf>
    <xf numFmtId="49" fontId="2" fillId="33" borderId="32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3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2" fillId="0" borderId="36" xfId="0" applyNumberFormat="1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1" fontId="0" fillId="34" borderId="39" xfId="0" applyNumberFormat="1" applyFill="1" applyBorder="1" applyAlignment="1">
      <alignment horizontal="center"/>
    </xf>
    <xf numFmtId="0" fontId="0" fillId="34" borderId="39" xfId="0" applyNumberFormat="1" applyFill="1" applyBorder="1" applyAlignment="1">
      <alignment horizontal="center"/>
    </xf>
    <xf numFmtId="0" fontId="0" fillId="34" borderId="40" xfId="0" applyNumberFormat="1" applyFill="1" applyBorder="1" applyAlignment="1">
      <alignment horizontal="center"/>
    </xf>
    <xf numFmtId="0" fontId="0" fillId="34" borderId="41" xfId="0" applyNumberFormat="1" applyFill="1" applyBorder="1" applyAlignment="1">
      <alignment horizontal="center"/>
    </xf>
    <xf numFmtId="0" fontId="0" fillId="34" borderId="42" xfId="0" applyNumberFormat="1" applyFill="1" applyBorder="1" applyAlignment="1">
      <alignment horizontal="center"/>
    </xf>
    <xf numFmtId="0" fontId="0" fillId="34" borderId="43" xfId="0" applyNumberFormat="1" applyFill="1" applyBorder="1" applyAlignment="1">
      <alignment horizontal="center"/>
    </xf>
    <xf numFmtId="1" fontId="2" fillId="34" borderId="39" xfId="0" applyNumberFormat="1" applyFont="1" applyFill="1" applyBorder="1" applyAlignment="1">
      <alignment horizontal="center"/>
    </xf>
    <xf numFmtId="0" fontId="6" fillId="0" borderId="44" xfId="0" applyFont="1" applyBorder="1" applyAlignment="1" applyProtection="1">
      <alignment horizontal="left"/>
      <protection locked="0"/>
    </xf>
    <xf numFmtId="1" fontId="2" fillId="0" borderId="44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left"/>
      <protection locked="0"/>
    </xf>
    <xf numFmtId="1" fontId="2" fillId="0" borderId="39" xfId="0" applyNumberFormat="1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 applyProtection="1">
      <alignment horizontal="center"/>
      <protection locked="0"/>
    </xf>
    <xf numFmtId="1" fontId="2" fillId="34" borderId="47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1" fontId="0" fillId="0" borderId="44" xfId="0" applyNumberForma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1" fontId="0" fillId="0" borderId="45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34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0" fontId="0" fillId="0" borderId="52" xfId="0" applyBorder="1" applyAlignment="1" applyProtection="1">
      <alignment/>
      <protection locked="0"/>
    </xf>
    <xf numFmtId="0" fontId="7" fillId="0" borderId="52" xfId="0" applyFon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0" fillId="0" borderId="44" xfId="0" applyNumberFormat="1" applyBorder="1" applyAlignment="1" applyProtection="1">
      <alignment horizontal="center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45" xfId="0" applyNumberFormat="1" applyBorder="1" applyAlignment="1" applyProtection="1">
      <alignment horizontal="center"/>
      <protection locked="0"/>
    </xf>
    <xf numFmtId="173" fontId="2" fillId="34" borderId="54" xfId="0" applyNumberFormat="1" applyFont="1" applyFill="1" applyBorder="1" applyAlignment="1" applyProtection="1">
      <alignment/>
      <protection locked="0"/>
    </xf>
    <xf numFmtId="0" fontId="2" fillId="34" borderId="52" xfId="0" applyFont="1" applyFill="1" applyBorder="1" applyAlignment="1" applyProtection="1">
      <alignment/>
      <protection locked="0"/>
    </xf>
    <xf numFmtId="0" fontId="2" fillId="34" borderId="53" xfId="0" applyFont="1" applyFill="1" applyBorder="1" applyAlignment="1" applyProtection="1">
      <alignment/>
      <protection locked="0"/>
    </xf>
    <xf numFmtId="1" fontId="0" fillId="34" borderId="55" xfId="0" applyNumberFormat="1" applyFill="1" applyBorder="1" applyAlignment="1">
      <alignment horizontal="center"/>
    </xf>
    <xf numFmtId="1" fontId="0" fillId="34" borderId="56" xfId="0" applyNumberFormat="1" applyFill="1" applyBorder="1" applyAlignment="1">
      <alignment horizontal="center"/>
    </xf>
    <xf numFmtId="1" fontId="0" fillId="34" borderId="5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58" xfId="0" applyNumberFormat="1" applyBorder="1" applyAlignment="1" applyProtection="1">
      <alignment horizontal="center"/>
      <protection locked="0"/>
    </xf>
    <xf numFmtId="1" fontId="0" fillId="0" borderId="59" xfId="0" applyNumberFormat="1" applyBorder="1" applyAlignment="1" applyProtection="1">
      <alignment horizontal="center"/>
      <protection locked="0"/>
    </xf>
    <xf numFmtId="1" fontId="0" fillId="0" borderId="60" xfId="0" applyNumberFormat="1" applyBorder="1" applyAlignment="1" applyProtection="1">
      <alignment horizontal="center"/>
      <protection locked="0"/>
    </xf>
    <xf numFmtId="1" fontId="0" fillId="0" borderId="61" xfId="0" applyNumberFormat="1" applyBorder="1" applyAlignment="1" applyProtection="1">
      <alignment horizontal="center"/>
      <protection locked="0"/>
    </xf>
    <xf numFmtId="1" fontId="0" fillId="0" borderId="62" xfId="0" applyNumberFormat="1" applyBorder="1" applyAlignment="1" applyProtection="1">
      <alignment horizontal="center"/>
      <protection locked="0"/>
    </xf>
    <xf numFmtId="1" fontId="0" fillId="0" borderId="63" xfId="0" applyNumberFormat="1" applyBorder="1" applyAlignment="1" applyProtection="1">
      <alignment horizontal="center"/>
      <protection locked="0"/>
    </xf>
    <xf numFmtId="1" fontId="0" fillId="0" borderId="64" xfId="0" applyNumberFormat="1" applyBorder="1" applyAlignment="1" applyProtection="1">
      <alignment horizontal="center"/>
      <protection locked="0"/>
    </xf>
    <xf numFmtId="1" fontId="0" fillId="0" borderId="65" xfId="0" applyNumberFormat="1" applyBorder="1" applyAlignment="1" applyProtection="1">
      <alignment horizontal="center"/>
      <protection locked="0"/>
    </xf>
    <xf numFmtId="1" fontId="0" fillId="34" borderId="40" xfId="0" applyNumberFormat="1" applyFill="1" applyBorder="1" applyAlignment="1">
      <alignment horizontal="center"/>
    </xf>
    <xf numFmtId="173" fontId="2" fillId="0" borderId="66" xfId="0" applyNumberFormat="1" applyFont="1" applyBorder="1" applyAlignment="1">
      <alignment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 quotePrefix="1">
      <alignment horizontal="left"/>
      <protection locked="0"/>
    </xf>
    <xf numFmtId="179" fontId="2" fillId="0" borderId="67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68" xfId="0" applyFont="1" applyFill="1" applyBorder="1" applyAlignment="1" quotePrefix="1">
      <alignment/>
    </xf>
    <xf numFmtId="0" fontId="0" fillId="33" borderId="53" xfId="0" applyFill="1" applyBorder="1" applyAlignment="1">
      <alignment/>
    </xf>
    <xf numFmtId="0" fontId="0" fillId="0" borderId="52" xfId="0" applyFont="1" applyBorder="1" applyAlignment="1" applyProtection="1">
      <alignment/>
      <protection locked="0"/>
    </xf>
    <xf numFmtId="0" fontId="2" fillId="33" borderId="69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175" fontId="2" fillId="0" borderId="52" xfId="0" applyNumberFormat="1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9.140625" style="51" customWidth="1"/>
  </cols>
  <sheetData>
    <row r="1" spans="1:19" s="49" customFormat="1" ht="30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49" customFormat="1" ht="25.5" customHeight="1" thickBot="1">
      <c r="A2" s="8" t="s">
        <v>19</v>
      </c>
      <c r="B2" s="9"/>
      <c r="C2" s="9"/>
      <c r="D2" s="9"/>
      <c r="E2" s="9"/>
      <c r="F2" s="9"/>
      <c r="G2" s="9"/>
      <c r="H2" s="94" t="s">
        <v>48</v>
      </c>
      <c r="I2" s="95"/>
      <c r="J2" s="9"/>
      <c r="K2" s="9"/>
      <c r="L2" s="16" t="s">
        <v>21</v>
      </c>
      <c r="M2" s="3"/>
      <c r="N2" s="4"/>
      <c r="O2" s="16" t="s">
        <v>24</v>
      </c>
      <c r="P2" s="18"/>
      <c r="Q2" s="19"/>
      <c r="R2" s="4"/>
      <c r="S2"/>
    </row>
    <row r="3" spans="1:19" s="49" customFormat="1" ht="25.5" customHeight="1" thickBot="1">
      <c r="A3" s="34" t="s">
        <v>31</v>
      </c>
      <c r="B3" s="124"/>
      <c r="C3" s="125"/>
      <c r="D3" s="92" t="s">
        <v>55</v>
      </c>
      <c r="E3" s="91"/>
      <c r="F3" s="91"/>
      <c r="G3" s="93"/>
      <c r="H3" s="54" t="s">
        <v>27</v>
      </c>
      <c r="I3" s="99" t="str">
        <f>VLOOKUP(H2,Fly!A3:C31,2)</f>
        <v>PA-28-161</v>
      </c>
      <c r="J3" s="100"/>
      <c r="K3" s="101"/>
      <c r="L3" s="20" t="s">
        <v>22</v>
      </c>
      <c r="M3" s="2"/>
      <c r="N3" s="5"/>
      <c r="O3" s="20" t="s">
        <v>25</v>
      </c>
      <c r="P3" s="22"/>
      <c r="Q3" s="36"/>
      <c r="R3" s="5"/>
      <c r="S3" s="1"/>
    </row>
    <row r="4" spans="1:19" s="49" customFormat="1" ht="25.5" customHeight="1" thickBot="1">
      <c r="A4" s="34" t="s">
        <v>28</v>
      </c>
      <c r="B4" s="124"/>
      <c r="C4" s="91"/>
      <c r="D4" s="92" t="s">
        <v>56</v>
      </c>
      <c r="E4" s="91"/>
      <c r="F4" s="91"/>
      <c r="G4" s="93"/>
      <c r="H4" s="54" t="s">
        <v>20</v>
      </c>
      <c r="I4" s="128">
        <v>39717</v>
      </c>
      <c r="J4" s="129"/>
      <c r="K4" s="130"/>
      <c r="L4" s="35" t="s">
        <v>23</v>
      </c>
      <c r="M4" s="6"/>
      <c r="N4" s="7"/>
      <c r="O4" s="35" t="s">
        <v>26</v>
      </c>
      <c r="P4" s="37"/>
      <c r="Q4" s="23"/>
      <c r="R4" s="7"/>
      <c r="S4" s="1"/>
    </row>
    <row r="5" spans="1:19" s="49" customFormat="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6"/>
    </row>
    <row r="6" spans="1:19" s="50" customFormat="1" ht="15.75" thickTop="1">
      <c r="A6" s="24" t="s">
        <v>3</v>
      </c>
      <c r="B6" s="25" t="s">
        <v>4</v>
      </c>
      <c r="C6" s="25" t="s">
        <v>2</v>
      </c>
      <c r="D6" s="126" t="s">
        <v>5</v>
      </c>
      <c r="E6" s="127"/>
      <c r="F6" s="25" t="s">
        <v>7</v>
      </c>
      <c r="G6" s="25" t="s">
        <v>8</v>
      </c>
      <c r="H6" s="25" t="s">
        <v>5</v>
      </c>
      <c r="I6" s="25" t="s">
        <v>9</v>
      </c>
      <c r="J6" s="26" t="s">
        <v>10</v>
      </c>
      <c r="K6" s="27" t="s">
        <v>11</v>
      </c>
      <c r="L6" s="25" t="s">
        <v>12</v>
      </c>
      <c r="M6" s="25" t="s">
        <v>13</v>
      </c>
      <c r="N6" s="25" t="s">
        <v>14</v>
      </c>
      <c r="O6" s="25" t="s">
        <v>15</v>
      </c>
      <c r="P6" s="25" t="s">
        <v>16</v>
      </c>
      <c r="Q6" s="25" t="s">
        <v>17</v>
      </c>
      <c r="R6" s="28" t="s">
        <v>18</v>
      </c>
      <c r="S6" s="47"/>
    </row>
    <row r="7" spans="1:19" s="50" customFormat="1" ht="15.75" thickBot="1">
      <c r="A7" s="29" t="s">
        <v>0</v>
      </c>
      <c r="B7" s="30" t="s">
        <v>1</v>
      </c>
      <c r="C7" s="30"/>
      <c r="D7" s="30" t="s">
        <v>45</v>
      </c>
      <c r="E7" s="53" t="s">
        <v>46</v>
      </c>
      <c r="F7" s="30"/>
      <c r="G7" s="30"/>
      <c r="H7" s="30" t="s">
        <v>6</v>
      </c>
      <c r="I7" s="30"/>
      <c r="J7" s="31"/>
      <c r="K7" s="32"/>
      <c r="L7" s="30"/>
      <c r="M7" s="30" t="s">
        <v>30</v>
      </c>
      <c r="N7" s="30" t="s">
        <v>3</v>
      </c>
      <c r="O7" s="30"/>
      <c r="P7" s="30"/>
      <c r="Q7" s="30"/>
      <c r="R7" s="33"/>
      <c r="S7" s="47"/>
    </row>
    <row r="8" spans="1:20" ht="19.5" customHeight="1">
      <c r="A8" s="107">
        <v>2000</v>
      </c>
      <c r="B8" s="96">
        <v>2000</v>
      </c>
      <c r="C8" s="96">
        <v>85</v>
      </c>
      <c r="D8" s="97">
        <v>0</v>
      </c>
      <c r="E8" s="106">
        <v>0</v>
      </c>
      <c r="F8" s="102">
        <f>GroundSpeed(C8,G8,D8,E8)</f>
        <v>85</v>
      </c>
      <c r="G8" s="96">
        <v>238</v>
      </c>
      <c r="H8" s="102">
        <f>ROUND(WindCorrectionAngle(C8,G8,D8,E8),0)</f>
        <v>0</v>
      </c>
      <c r="I8" s="56">
        <f>IF(OR(ISBLANK(G8),ISBLANK(H8)),"",AddDegrees(G8,H8))</f>
        <v>238</v>
      </c>
      <c r="J8" s="110">
        <v>2</v>
      </c>
      <c r="K8" s="58">
        <f>IF(OR(ISBLANK(I8),ISBLANK(J8)),"",AddDegrees(I8,-J8))</f>
        <v>236</v>
      </c>
      <c r="L8" s="62" t="s">
        <v>57</v>
      </c>
      <c r="M8" s="63">
        <v>6</v>
      </c>
      <c r="N8" s="61">
        <f>IF(OR(ISBLANK(F8),ISBLANK(M8)),"",M8/F8*60)</f>
        <v>4.235294117647059</v>
      </c>
      <c r="O8" s="70"/>
      <c r="P8" s="71"/>
      <c r="Q8" s="71"/>
      <c r="R8" s="72"/>
      <c r="S8" s="46"/>
      <c r="T8" s="119"/>
    </row>
    <row r="9" spans="1:22" ht="19.5" customHeight="1">
      <c r="A9" s="108">
        <v>1700</v>
      </c>
      <c r="B9" s="97">
        <v>3500</v>
      </c>
      <c r="C9" s="97">
        <v>110</v>
      </c>
      <c r="D9" s="97">
        <v>0</v>
      </c>
      <c r="E9" s="106">
        <v>0</v>
      </c>
      <c r="F9" s="55">
        <f>GroundSpeed(C9,G9,D9,E9)</f>
        <v>110</v>
      </c>
      <c r="G9" s="97">
        <v>241</v>
      </c>
      <c r="H9" s="103">
        <f>ROUND(WindCorrectionAngle(C9,G9,D9,E9),0)</f>
        <v>0</v>
      </c>
      <c r="I9" s="56">
        <f>IF(OR(ISBLANK(G9),ISBLANK(H9)),"",AddDegrees(G9,H9))</f>
        <v>241</v>
      </c>
      <c r="J9" s="111">
        <v>1</v>
      </c>
      <c r="K9" s="59">
        <f>IF(OR(ISBLANK(I9),ISBLANK(J9)),"",AddDegrees(I9,-J9))</f>
        <v>240</v>
      </c>
      <c r="L9" s="64" t="s">
        <v>58</v>
      </c>
      <c r="M9" s="65">
        <v>23</v>
      </c>
      <c r="N9" s="61">
        <f>IF(OR(ISBLANK(F9),ISBLANK(M9)),"",M9/F9*60)</f>
        <v>12.545454545454545</v>
      </c>
      <c r="O9" s="73"/>
      <c r="P9" s="74"/>
      <c r="Q9" s="74"/>
      <c r="R9" s="75"/>
      <c r="S9" s="46"/>
      <c r="V9" s="119"/>
    </row>
    <row r="10" spans="1:19" ht="19.5" customHeight="1">
      <c r="A10" s="108">
        <v>2000</v>
      </c>
      <c r="B10" s="97">
        <v>3500</v>
      </c>
      <c r="C10" s="97">
        <v>110</v>
      </c>
      <c r="D10" s="97">
        <v>0</v>
      </c>
      <c r="E10" s="106">
        <v>0</v>
      </c>
      <c r="F10" s="55">
        <f>GroundSpeed(C10,G10,D10,E10)</f>
        <v>110</v>
      </c>
      <c r="G10" s="97">
        <v>257</v>
      </c>
      <c r="H10" s="103">
        <f>ROUND(WindCorrectionAngle(C10,G10,D10,E10),0)</f>
        <v>0</v>
      </c>
      <c r="I10" s="56">
        <f>IF(OR(ISBLANK(G10),ISBLANK(H10)),"",AddDegrees(G10,H10))</f>
        <v>257</v>
      </c>
      <c r="J10" s="112">
        <v>1</v>
      </c>
      <c r="K10" s="59">
        <f>IF(OR(ISBLANK(I10),ISBLANK(J10)),"",AddDegrees(I10,-J10))</f>
        <v>256</v>
      </c>
      <c r="L10" s="64" t="s">
        <v>59</v>
      </c>
      <c r="M10" s="65">
        <v>18</v>
      </c>
      <c r="N10" s="61">
        <f>IF(OR(ISBLANK(F10),ISBLANK(M10)),"",M10/F10*60)</f>
        <v>9.818181818181818</v>
      </c>
      <c r="O10" s="73"/>
      <c r="P10" s="74"/>
      <c r="Q10" s="74"/>
      <c r="R10" s="75"/>
      <c r="S10" s="46"/>
    </row>
    <row r="11" spans="1:19" ht="19.5" customHeight="1">
      <c r="A11" s="108">
        <v>1900</v>
      </c>
      <c r="B11" s="97">
        <v>3500</v>
      </c>
      <c r="C11" s="97">
        <v>110</v>
      </c>
      <c r="D11" s="97">
        <v>0</v>
      </c>
      <c r="E11" s="106">
        <v>0</v>
      </c>
      <c r="F11" s="55">
        <f>GroundSpeed(C11,G11,D11,E11)</f>
        <v>110</v>
      </c>
      <c r="G11" s="97">
        <v>240</v>
      </c>
      <c r="H11" s="103">
        <f>ROUND(WindCorrectionAngle(C11,G11,D11,E11),0)</f>
        <v>0</v>
      </c>
      <c r="I11" s="56">
        <f>IF(OR(ISBLANK(G11),ISBLANK(H11)),"",AddDegrees(G11,H11))</f>
        <v>240</v>
      </c>
      <c r="J11" s="112">
        <v>1</v>
      </c>
      <c r="K11" s="59">
        <f>IF(OR(ISBLANK(I11),ISBLANK(J11)),"",AddDegrees(I11,-J11))</f>
        <v>239</v>
      </c>
      <c r="L11" s="64" t="s">
        <v>60</v>
      </c>
      <c r="M11" s="65">
        <v>6</v>
      </c>
      <c r="N11" s="61">
        <f>IF(OR(ISBLANK(F11),ISBLANK(M11)),"",M11/F11*60)</f>
        <v>3.2727272727272725</v>
      </c>
      <c r="O11" s="73"/>
      <c r="P11" s="74"/>
      <c r="Q11" s="74"/>
      <c r="R11" s="75"/>
      <c r="S11" s="46"/>
    </row>
    <row r="12" spans="1:19" ht="19.5" customHeight="1">
      <c r="A12" s="108">
        <v>2500</v>
      </c>
      <c r="B12" s="97">
        <v>3000</v>
      </c>
      <c r="C12" s="97">
        <v>85</v>
      </c>
      <c r="D12" s="97">
        <v>0</v>
      </c>
      <c r="E12" s="106">
        <v>0</v>
      </c>
      <c r="F12" s="55">
        <f>GroundSpeed(C12,G12,D12,E12)</f>
        <v>85</v>
      </c>
      <c r="G12" s="97">
        <v>248</v>
      </c>
      <c r="H12" s="103">
        <f>ROUND(WindCorrectionAngle(C12,G12,D12,E12),0)</f>
        <v>0</v>
      </c>
      <c r="I12" s="56">
        <f>IF(OR(ISBLANK(G12),ISBLANK(H12)),"",AddDegrees(G12,H12))</f>
        <v>248</v>
      </c>
      <c r="J12" s="112">
        <v>1</v>
      </c>
      <c r="K12" s="59">
        <f>IF(OR(ISBLANK(I12),ISBLANK(J12)),"",AddDegrees(I12,-J12))</f>
        <v>247</v>
      </c>
      <c r="L12" s="64" t="s">
        <v>61</v>
      </c>
      <c r="M12" s="65">
        <v>9</v>
      </c>
      <c r="N12" s="61">
        <f>IF(OR(ISBLANK(F12),ISBLANK(M12)),"",M12/F12*60)</f>
        <v>6.352941176470588</v>
      </c>
      <c r="O12" s="73"/>
      <c r="P12" s="74"/>
      <c r="Q12" s="74"/>
      <c r="R12" s="75"/>
      <c r="S12" s="46"/>
    </row>
    <row r="13" spans="1:19" ht="19.5" customHeight="1">
      <c r="A13" s="108"/>
      <c r="B13" s="97"/>
      <c r="C13" s="97"/>
      <c r="D13" s="97"/>
      <c r="E13" s="106"/>
      <c r="F13" s="55"/>
      <c r="G13" s="97"/>
      <c r="H13" s="103"/>
      <c r="I13" s="56">
        <f>IF(OR(ISBLANK(G13),ISBLANK(H13)),"",AddDegrees(G13,H13))</f>
      </c>
      <c r="J13" s="112"/>
      <c r="K13" s="59">
        <f>IF(OR(ISBLANK(I13),ISBLANK(J13)),"",AddDegrees(I13,-J13))</f>
      </c>
      <c r="L13" s="64"/>
      <c r="M13" s="65"/>
      <c r="N13" s="61">
        <f aca="true" t="shared" si="0" ref="N13:N21">IF(OR(ISBLANK(F13),ISBLANK(M13)),"",M13/F13*60)</f>
      </c>
      <c r="O13" s="73"/>
      <c r="P13" s="74"/>
      <c r="Q13" s="74"/>
      <c r="R13" s="75"/>
      <c r="S13" s="48"/>
    </row>
    <row r="14" spans="1:19" ht="19.5" customHeight="1">
      <c r="A14" s="108"/>
      <c r="B14" s="97"/>
      <c r="C14" s="97"/>
      <c r="D14" s="97"/>
      <c r="E14" s="106"/>
      <c r="F14" s="55"/>
      <c r="G14" s="97"/>
      <c r="H14" s="103"/>
      <c r="I14" s="56">
        <f>IF(OR(ISBLANK(G14),ISBLANK(H14)),"",AddDegrees(G14,H14))</f>
      </c>
      <c r="J14" s="112"/>
      <c r="K14" s="59">
        <f>IF(OR(ISBLANK(I14),ISBLANK(J14)),"",AddDegrees(I14,-J14))</f>
      </c>
      <c r="L14" s="116"/>
      <c r="M14" s="65"/>
      <c r="N14" s="61">
        <f t="shared" si="0"/>
      </c>
      <c r="O14" s="73"/>
      <c r="P14" s="74"/>
      <c r="Q14" s="74"/>
      <c r="R14" s="75"/>
      <c r="S14" s="48"/>
    </row>
    <row r="15" spans="1:19" ht="19.5" customHeight="1">
      <c r="A15" s="108"/>
      <c r="B15" s="97"/>
      <c r="C15" s="97"/>
      <c r="D15" s="97"/>
      <c r="E15" s="106"/>
      <c r="F15" s="55"/>
      <c r="G15" s="97"/>
      <c r="H15" s="103"/>
      <c r="I15" s="56">
        <f>IF(OR(ISBLANK(G15),ISBLANK(H15)),"",AddDegrees(G15,H15))</f>
      </c>
      <c r="J15" s="112"/>
      <c r="K15" s="59">
        <f>IF(OR(ISBLANK(I15),ISBLANK(J15)),"",AddDegrees(I15,-J15))</f>
      </c>
      <c r="L15" s="117"/>
      <c r="M15" s="65"/>
      <c r="N15" s="61">
        <f t="shared" si="0"/>
      </c>
      <c r="O15" s="73"/>
      <c r="P15" s="74"/>
      <c r="Q15" s="74"/>
      <c r="R15" s="75"/>
      <c r="S15" s="48"/>
    </row>
    <row r="16" spans="1:19" ht="19.5" customHeight="1">
      <c r="A16" s="108"/>
      <c r="B16" s="97"/>
      <c r="C16" s="97"/>
      <c r="D16" s="97"/>
      <c r="E16" s="106"/>
      <c r="F16" s="55"/>
      <c r="G16" s="97"/>
      <c r="H16" s="103"/>
      <c r="I16" s="56">
        <f>IF(OR(ISBLANK(G16),ISBLANK(H16)),"",AddDegrees(G16,H16))</f>
      </c>
      <c r="J16" s="112"/>
      <c r="K16" s="59">
        <f>IF(OR(ISBLANK(I16),ISBLANK(J16)),"",AddDegrees(I16,-J16))</f>
      </c>
      <c r="L16" s="64"/>
      <c r="M16" s="65"/>
      <c r="N16" s="61">
        <f t="shared" si="0"/>
      </c>
      <c r="O16" s="73"/>
      <c r="P16" s="74"/>
      <c r="Q16" s="74"/>
      <c r="R16" s="75"/>
      <c r="S16" s="48"/>
    </row>
    <row r="17" spans="1:19" ht="19.5" customHeight="1">
      <c r="A17" s="108"/>
      <c r="B17" s="97"/>
      <c r="C17" s="97"/>
      <c r="D17" s="97"/>
      <c r="E17" s="106"/>
      <c r="F17" s="55"/>
      <c r="G17" s="97"/>
      <c r="H17" s="103"/>
      <c r="I17" s="56">
        <f>IF(OR(ISBLANK(G17),ISBLANK(H17)),"",AddDegrees(G17,H17))</f>
      </c>
      <c r="J17" s="112"/>
      <c r="K17" s="59">
        <f>IF(OR(ISBLANK(I17),ISBLANK(J17)),"",AddDegrees(I17,-J17))</f>
      </c>
      <c r="L17" s="64"/>
      <c r="M17" s="65"/>
      <c r="N17" s="61">
        <f t="shared" si="0"/>
      </c>
      <c r="O17" s="73"/>
      <c r="P17" s="74"/>
      <c r="Q17" s="74"/>
      <c r="R17" s="75"/>
      <c r="S17" s="48"/>
    </row>
    <row r="18" spans="1:19" ht="19.5" customHeight="1">
      <c r="A18" s="108"/>
      <c r="B18" s="97"/>
      <c r="C18" s="97"/>
      <c r="D18" s="97"/>
      <c r="E18" s="106"/>
      <c r="F18" s="55"/>
      <c r="G18" s="97"/>
      <c r="H18" s="103"/>
      <c r="I18" s="56">
        <f>IF(OR(ISBLANK(G18),ISBLANK(H18)),"",AddDegrees(G18,H18))</f>
      </c>
      <c r="J18" s="112"/>
      <c r="K18" s="59">
        <f>IF(OR(ISBLANK(I18),ISBLANK(J18)),"",AddDegrees(I18,-J18))</f>
      </c>
      <c r="L18" s="64"/>
      <c r="M18" s="65"/>
      <c r="N18" s="61">
        <f t="shared" si="0"/>
      </c>
      <c r="O18" s="73"/>
      <c r="P18" s="74"/>
      <c r="Q18" s="74"/>
      <c r="R18" s="75"/>
      <c r="S18" s="48"/>
    </row>
    <row r="19" spans="1:19" ht="19.5" customHeight="1">
      <c r="A19" s="108"/>
      <c r="B19" s="97"/>
      <c r="C19" s="97"/>
      <c r="D19" s="97"/>
      <c r="E19" s="106"/>
      <c r="F19" s="55"/>
      <c r="G19" s="97"/>
      <c r="H19" s="103"/>
      <c r="I19" s="56">
        <f>IF(OR(ISBLANK(G19),ISBLANK(H19)),"",AddDegrees(G19,H19))</f>
      </c>
      <c r="J19" s="112"/>
      <c r="K19" s="59">
        <f>IF(OR(ISBLANK(I19),ISBLANK(J19)),"",AddDegrees(I19,-J19))</f>
      </c>
      <c r="L19" s="64"/>
      <c r="M19" s="65"/>
      <c r="N19" s="61">
        <f t="shared" si="0"/>
      </c>
      <c r="O19" s="73"/>
      <c r="P19" s="74"/>
      <c r="Q19" s="74"/>
      <c r="R19" s="75"/>
      <c r="S19" s="48"/>
    </row>
    <row r="20" spans="1:19" ht="19.5" customHeight="1">
      <c r="A20" s="108"/>
      <c r="B20" s="97"/>
      <c r="C20" s="97"/>
      <c r="D20" s="97"/>
      <c r="E20" s="106"/>
      <c r="F20" s="55"/>
      <c r="G20" s="97"/>
      <c r="H20" s="103"/>
      <c r="I20" s="56">
        <f>IF(OR(ISBLANK(G20),ISBLANK(H20)),"",AddDegrees(G20,H20))</f>
      </c>
      <c r="J20" s="112"/>
      <c r="K20" s="59">
        <f>IF(OR(ISBLANK(I20),ISBLANK(J20)),"",AddDegrees(I20,-J20))</f>
      </c>
      <c r="L20" s="64"/>
      <c r="M20" s="65"/>
      <c r="N20" s="61">
        <f t="shared" si="0"/>
      </c>
      <c r="O20" s="73"/>
      <c r="P20" s="74"/>
      <c r="Q20" s="74"/>
      <c r="R20" s="75"/>
      <c r="S20" s="48"/>
    </row>
    <row r="21" spans="1:18" ht="19.5" customHeight="1">
      <c r="A21" s="109"/>
      <c r="B21" s="98"/>
      <c r="C21" s="98"/>
      <c r="D21" s="98"/>
      <c r="E21" s="98"/>
      <c r="F21" s="114"/>
      <c r="G21" s="98"/>
      <c r="H21" s="104"/>
      <c r="I21" s="57">
        <f>IF(OR(ISBLANK(G21),ISBLANK(H21)),"",AddDegrees(G21,H21))</f>
      </c>
      <c r="J21" s="113"/>
      <c r="K21" s="60">
        <f>IF(OR(ISBLANK(I21),ISBLANK(J21)),"",AddDegrees(I21,-J21))</f>
      </c>
      <c r="L21" s="66"/>
      <c r="M21" s="67"/>
      <c r="N21" s="61">
        <f t="shared" si="0"/>
      </c>
      <c r="O21" s="76"/>
      <c r="P21" s="77"/>
      <c r="Q21" s="77"/>
      <c r="R21" s="78"/>
    </row>
    <row r="22" spans="12:18" ht="19.5" customHeight="1" thickBot="1">
      <c r="L22" s="12" t="s">
        <v>29</v>
      </c>
      <c r="M22" s="68">
        <f>SUM(M8:M21)</f>
        <v>62</v>
      </c>
      <c r="N22" s="69">
        <f>SUM(N8:N21)</f>
        <v>36.224598930481285</v>
      </c>
      <c r="O22" s="10"/>
      <c r="P22" t="s">
        <v>36</v>
      </c>
      <c r="R22" s="15" t="s">
        <v>37</v>
      </c>
    </row>
    <row r="23" ht="12.75" customHeight="1"/>
    <row r="24" spans="1:18" ht="15.75" thickBot="1">
      <c r="A24" s="13" t="s">
        <v>38</v>
      </c>
      <c r="D24" s="9"/>
      <c r="E24" s="9"/>
      <c r="K24" s="13" t="str">
        <f>CONCATENATE("Avgangsplass: ",C3,D3)</f>
        <v>Avgangsplass: ENKJ</v>
      </c>
      <c r="L24" s="11"/>
      <c r="M24" s="11"/>
      <c r="N24" s="11"/>
      <c r="O24" s="13" t="str">
        <f>CONCATENATE("Landingsplass: ",C4,D4)</f>
        <v>Landingsplass: ENNO</v>
      </c>
      <c r="P24" s="11"/>
      <c r="Q24" s="11"/>
      <c r="R24" s="11"/>
    </row>
    <row r="25" spans="1:18" ht="19.5" customHeight="1">
      <c r="A25" s="16" t="s">
        <v>40</v>
      </c>
      <c r="B25" s="17"/>
      <c r="C25" s="17"/>
      <c r="D25" s="17"/>
      <c r="E25" s="17"/>
      <c r="F25" s="18"/>
      <c r="G25" s="19"/>
      <c r="H25" s="18" t="s">
        <v>39</v>
      </c>
      <c r="I25" s="99">
        <f>VLOOKUP(H2,Fly!A3:C32,3)</f>
        <v>10</v>
      </c>
      <c r="K25" s="38" t="s">
        <v>34</v>
      </c>
      <c r="L25" s="79" t="s">
        <v>62</v>
      </c>
      <c r="M25" s="80"/>
      <c r="N25" s="14"/>
      <c r="O25" s="38" t="s">
        <v>34</v>
      </c>
      <c r="P25" s="42"/>
      <c r="Q25" s="79"/>
      <c r="R25" s="87" t="s">
        <v>62</v>
      </c>
    </row>
    <row r="26" spans="1:18" ht="19.5" customHeight="1">
      <c r="A26" s="20" t="s">
        <v>41</v>
      </c>
      <c r="B26" s="21"/>
      <c r="C26" s="21"/>
      <c r="D26" s="21"/>
      <c r="E26" s="21"/>
      <c r="F26" s="22"/>
      <c r="G26" s="22"/>
      <c r="H26" s="22" t="s">
        <v>39</v>
      </c>
      <c r="I26" s="52">
        <f>(N22+45)/60*I25*1.05</f>
        <v>14.214304812834225</v>
      </c>
      <c r="K26" s="39" t="s">
        <v>33</v>
      </c>
      <c r="L26" s="81" t="s">
        <v>63</v>
      </c>
      <c r="M26" s="82"/>
      <c r="N26" s="14"/>
      <c r="O26" s="39" t="s">
        <v>33</v>
      </c>
      <c r="P26" s="43"/>
      <c r="Q26" s="81"/>
      <c r="R26" s="88" t="s">
        <v>65</v>
      </c>
    </row>
    <row r="27" spans="1:18" ht="19.5" customHeight="1">
      <c r="A27" s="20" t="s">
        <v>53</v>
      </c>
      <c r="B27" s="21"/>
      <c r="C27" s="21"/>
      <c r="D27" s="21"/>
      <c r="E27" s="21"/>
      <c r="F27" s="22"/>
      <c r="G27" s="22"/>
      <c r="H27" s="22" t="s">
        <v>39</v>
      </c>
      <c r="I27" s="52">
        <f>I26+1/2*I25</f>
        <v>19.214304812834225</v>
      </c>
      <c r="K27" s="39" t="s">
        <v>32</v>
      </c>
      <c r="L27" s="81" t="s">
        <v>64</v>
      </c>
      <c r="M27" s="82"/>
      <c r="N27" s="14"/>
      <c r="O27" s="39" t="s">
        <v>32</v>
      </c>
      <c r="P27" s="43"/>
      <c r="Q27" s="81"/>
      <c r="R27" s="88" t="s">
        <v>69</v>
      </c>
    </row>
    <row r="28" spans="1:18" ht="19.5" customHeight="1">
      <c r="A28" s="120" t="s">
        <v>42</v>
      </c>
      <c r="B28" s="121"/>
      <c r="C28" s="121"/>
      <c r="D28" s="121"/>
      <c r="E28" s="121"/>
      <c r="F28" s="121"/>
      <c r="G28" s="121"/>
      <c r="H28" s="121" t="s">
        <v>39</v>
      </c>
      <c r="I28" s="115">
        <v>47</v>
      </c>
      <c r="K28" s="40"/>
      <c r="L28" s="81" t="s">
        <v>68</v>
      </c>
      <c r="M28" s="84"/>
      <c r="N28" s="14"/>
      <c r="O28" s="40" t="s">
        <v>66</v>
      </c>
      <c r="P28" s="44"/>
      <c r="Q28" s="83"/>
      <c r="R28" s="89" t="s">
        <v>67</v>
      </c>
    </row>
    <row r="29" spans="1:18" ht="19.5" customHeight="1" thickBot="1">
      <c r="A29" s="35" t="s">
        <v>43</v>
      </c>
      <c r="B29" s="35"/>
      <c r="C29" s="35"/>
      <c r="D29" s="35"/>
      <c r="E29" s="122"/>
      <c r="F29" s="122"/>
      <c r="G29" s="122"/>
      <c r="H29" s="123" t="s">
        <v>54</v>
      </c>
      <c r="I29" s="118">
        <f>I28/(24*I25)</f>
        <v>0.19583333333333333</v>
      </c>
      <c r="K29" s="41" t="s">
        <v>35</v>
      </c>
      <c r="L29" s="85"/>
      <c r="M29" s="86"/>
      <c r="N29" s="14"/>
      <c r="O29" s="41" t="s">
        <v>35</v>
      </c>
      <c r="P29" s="45"/>
      <c r="Q29" s="85"/>
      <c r="R29" s="90"/>
    </row>
    <row r="30" ht="19.5" customHeight="1"/>
  </sheetData>
  <sheetProtection/>
  <mergeCells count="2">
    <mergeCell ref="D6:E6"/>
    <mergeCell ref="I4:K4"/>
  </mergeCell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C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3" s="11" customFormat="1" ht="15.75">
      <c r="A2" s="105" t="s">
        <v>49</v>
      </c>
      <c r="B2" s="105" t="s">
        <v>51</v>
      </c>
      <c r="C2" s="105" t="s">
        <v>50</v>
      </c>
    </row>
    <row r="3" spans="1:3" ht="12.75">
      <c r="A3" t="s">
        <v>47</v>
      </c>
      <c r="B3" t="s">
        <v>44</v>
      </c>
      <c r="C3">
        <v>9.2</v>
      </c>
    </row>
    <row r="4" spans="1:3" ht="12.75">
      <c r="A4" t="s">
        <v>48</v>
      </c>
      <c r="B4" t="s">
        <v>52</v>
      </c>
      <c r="C4">
        <v>10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sobjerke</cp:lastModifiedBy>
  <cp:lastPrinted>2008-09-25T19:22:45Z</cp:lastPrinted>
  <dcterms:created xsi:type="dcterms:W3CDTF">1999-11-19T19:35:08Z</dcterms:created>
  <dcterms:modified xsi:type="dcterms:W3CDTF">2008-09-25T19:22:53Z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